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/>
  </bookViews>
  <sheets>
    <sheet name="Sheet1" sheetId="1" r:id="rId1"/>
    <sheet name="Sheet2" sheetId="2" r:id="rId2"/>
    <sheet name="Sheet3" sheetId="3" r:id="rId3"/>
  </sheets>
  <definedNames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<sst xmlns="http://schemas.openxmlformats.org/spreadsheetml/2006/main" uniqueCount="3" count="3">
  <si>
    <t>opening</t>
  </si>
  <si>
    <t>angle</t>
  </si>
  <si>
    <t>opening</t>
  </si>
</sst>
</file>

<file path=xl/styles.xml><?xml version="1.0" encoding="utf-8"?>
<styleSheet xmlns="http://schemas.openxmlformats.org/spreadsheetml/2006/main">
  <numFmts count="1">
    <numFmt formatCode="0.0" numFmtId="100"/>
  </numFmts>
  <fonts count="3">
    <font>
      <b val="1"/>
      <i val="0"/>
      <color rgb="FF000000"/>
      <name val="Sans"/>
      <sz val="14"/>
      <strike val="0"/>
    </font>
    <font>
      <b val="0"/>
      <i val="0"/>
      <color rgb="FF000000"/>
      <name val="Sans"/>
      <sz val="10"/>
      <strike val="0"/>
    </font>
    <font>
      <b val="1"/>
      <i val="0"/>
      <color rgb="FF000000"/>
      <name val="Sans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/>
  </cellStyleXfs>
  <cellXfs count="9">
    <xf applyAlignment="0" applyBorder="0" applyFont="0" applyFill="0" applyNumberFormat="0" xfId="0"/>
    <xf applyAlignment="1" applyBorder="1" applyFont="1" applyFill="1" applyNumberFormat="1" fontId="0" fillId="0" borderId="0" numFmtId="0" xfId="0">
      <alignment horizontal="center" vertical="bottom" wrapText="0" shrinkToFit="0" textRotation="0" indent="0"/>
    </xf>
    <xf applyAlignment="1" applyBorder="1" applyFont="1" applyFill="1" applyNumberFormat="1" fontId="1" fillId="0" borderId="0" numFmtId="0" xfId="0">
      <alignment horizontal="general" vertical="bottom" wrapText="0" shrinkToFit="0" textRotation="0" indent="0"/>
    </xf>
    <xf applyAlignment="1" applyBorder="1" applyFont="1" applyFill="1" applyNumberFormat="1" fontId="2" fillId="0" borderId="0" numFmtId="0" xfId="0">
      <alignment horizontal="center" vertical="bottom" wrapText="0" shrinkToFit="0" textRotation="0" indent="0"/>
    </xf>
    <xf applyAlignment="1" applyBorder="1" applyFont="1" applyFill="1" applyNumberFormat="1" fontId="1" fillId="0" borderId="0" numFmtId="0" xfId="0">
      <alignment horizontal="center" vertical="bottom" wrapText="0" shrinkToFit="0" textRotation="0" indent="0"/>
    </xf>
    <xf applyAlignment="1" applyBorder="1" applyFont="1" applyFill="1" applyNumberFormat="1" fontId="1" fillId="0" borderId="0" numFmtId="10" xfId="0">
      <alignment horizontal="general" vertical="bottom" wrapText="0" shrinkToFit="0" textRotation="0" indent="0"/>
    </xf>
    <xf applyAlignment="1" applyBorder="1" applyFont="1" applyFill="1" applyNumberFormat="1" fontId="1" fillId="0" borderId="0" numFmtId="100" xfId="0">
      <alignment horizontal="general" vertical="bottom" wrapText="0" shrinkToFit="0" textRotation="0" indent="0"/>
    </xf>
    <xf applyAlignment="1" applyBorder="1" applyFont="1" applyFill="1" applyNumberFormat="1" fontId="1" fillId="0" borderId="0" numFmtId="0" xfId="0">
      <alignment horizontal="general" vertical="bottom" wrapText="0" shrinkToFit="0" textRotation="0" indent="0"/>
    </xf>
    <xf applyAlignment="1" applyBorder="1" applyFont="1" applyFill="1" applyNumberFormat="1" fontId="1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AN93"/>
  <sheetViews>
    <sheetView workbookViewId="0" tabSelected="1">
      <selection activeCell="J19" sqref="J19"/>
    </sheetView>
  </sheetViews>
  <sheetFormatPr defaultRowHeight="12.75"/>
  <cols>
    <col min="1" max="1" width="9.142308"/>
    <col min="2" max="2" width="20.2845" customWidth="1"/>
    <col min="3" max="5" width="9.142308"/>
    <col min="6" max="7" width="20.18926" bestFit="1" customWidth="1"/>
    <col min="8" max="40" width="9.142308"/>
  </cols>
  <sheetData>
    <row r="1" spans="1:40" ht="19.5" customHeight="1">
      <c r="A1" s="1" t="str">
        <v>Throttle valve area calculation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>
      <c r="A3" s="2"/>
      <c r="B3" s="3" t="str">
        <v>Source valve</v>
      </c>
      <c r="C3" s="3"/>
      <c r="D3" s="3"/>
      <c r="E3" s="3" t="str">
        <v>Target valve</v>
      </c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>
      <c r="A4" s="2"/>
      <c r="B4" s="4">
        <v>58</v>
      </c>
      <c r="C4" s="4"/>
      <c r="D4" s="4"/>
      <c r="E4" s="4">
        <v>65</v>
      </c>
      <c r="F4" s="4"/>
      <c r="G4" s="2" t="str">
        <v>mm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>
      <c r="A5" s="4" t="str">
        <v>index</v>
      </c>
      <c r="B5" s="4" t="s">
        <v>0</v>
      </c>
      <c r="C5" s="4" t="s">
        <v>1</v>
      </c>
      <c r="D5" s="4" t="str">
        <v>area</v>
      </c>
      <c r="E5" s="4" t="s">
        <v>1</v>
      </c>
      <c r="F5" s="4" t="s">
        <v>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>
      <c r="A6" s="2">
        <v>0</v>
      </c>
      <c r="B6" s="5">
        <f>0/100</f>
        <v>0</v>
      </c>
      <c r="C6" s="6">
        <f>B6*90</f>
        <v>0</v>
      </c>
      <c r="D6" s="6">
        <f>(pi()*$B$4*$B$4)/4*(1-(cos(radians(C6))/cos(radians(0))))</f>
        <v>0</v>
      </c>
      <c r="E6" s="6">
        <f>degrees(acos((-4*D6*cos(radians(0)))/(pi()*$E$4*$E$4)+cos(radians(0))))</f>
        <v>0</v>
      </c>
      <c r="F6" s="5">
        <f>E6/90</f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>
      <c r="A7" s="2">
        <v>1</v>
      </c>
      <c r="B7" s="5">
        <f>0.3/100</f>
        <v>0.003</v>
      </c>
      <c r="C7" s="6">
        <f>B7*90</f>
        <v>0.27</v>
      </c>
      <c r="D7" s="6">
        <f>(pi()*$B$4*$B$4)/4*(1-(cos(radians(C7))/cos(radians(0))))</f>
        <v>0.0293357592367803</v>
      </c>
      <c r="E7" s="6">
        <f>degrees(acos((-4*D7*cos(radians(0)))/(pi()*$E$4*$E$4)+cos(radians(0))))</f>
        <v>0.240923031494912</v>
      </c>
      <c r="F7" s="5">
        <f>E7/90</f>
        <v>0.00267692257216569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>
      <c r="A8" s="2">
        <v>2</v>
      </c>
      <c r="B8" s="5">
        <f>0.6/100</f>
        <v>0.006</v>
      </c>
      <c r="C8" s="6">
        <f>B8*90</f>
        <v>0.54</v>
      </c>
      <c r="D8" s="6">
        <f>(pi()*$B$4*$B$4)/4*(1-(cos(radians(C8))/cos(radians(0))))</f>
        <v>0.117342385500487</v>
      </c>
      <c r="E8" s="6">
        <f>degrees(acos((-4*D8*cos(radians(0)))/(pi()*$E$4*$E$4)+cos(radians(0))))</f>
        <v>0.481845790417931</v>
      </c>
      <c r="F8" s="5">
        <f>E8/90</f>
        <v>0.00535384211575478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>
      <c r="A9" s="2">
        <v>3</v>
      </c>
      <c r="B9" s="5">
        <f>1/100</f>
        <v>0.01</v>
      </c>
      <c r="C9" s="6">
        <f>B9*90</f>
        <v>0.9</v>
      </c>
      <c r="D9" s="6">
        <f>(pi()*$B$4*$B$4)/4*(1-(cos(radians(C9))/cos(radians(0))))</f>
        <v>0.325946781506936</v>
      </c>
      <c r="E9" s="6">
        <f>degrees(acos((-4*D9*cos(radians(0)))/(pi()*$E$4*$E$4)+cos(radians(0))))</f>
        <v>0.803075240517892</v>
      </c>
      <c r="F9" s="5">
        <f>E9/90</f>
        <v>0.00892305822797658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>
      <c r="A10" s="2">
        <v>4</v>
      </c>
      <c r="B10" s="5">
        <f>1.8/100</f>
        <v>0.018</v>
      </c>
      <c r="C10" s="6">
        <f>B10*90</f>
        <v>1.62</v>
      </c>
      <c r="D10" s="6">
        <f>(pi()*$B$4*$B$4)/4*(1-(cos(radians(C10))/cos(radians(0))))</f>
        <v>1.05601893225574</v>
      </c>
      <c r="E10" s="6">
        <f>degrees(acos((-4*D10*cos(radians(0)))/(pi()*$E$4*$E$4)+cos(radians(0))))</f>
        <v>1.44552864843525</v>
      </c>
      <c r="F10" s="5">
        <f>E10/90</f>
        <v>0.0160614294270583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>
      <c r="A11" s="2">
        <v>5</v>
      </c>
      <c r="B11" s="5">
        <f>2.3/100</f>
        <v>0.023</v>
      </c>
      <c r="C11" s="6">
        <f>B11*90</f>
        <v>2.07</v>
      </c>
      <c r="D11" s="6">
        <f>(pi()*$B$4*$B$4)/4*(1-(cos(radians(C11))/cos(radians(0))))</f>
        <v>1.72410638278054</v>
      </c>
      <c r="E11" s="6">
        <f>degrees(acos((-4*D11*cos(radians(0)))/(pi()*$E$4*$E$4)+cos(radians(0))))</f>
        <v>1.84705644970865</v>
      </c>
      <c r="F11" s="5">
        <f>E11/90</f>
        <v>0.0205228494412072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>
      <c r="A12" s="2">
        <v>6</v>
      </c>
      <c r="B12" s="5">
        <f>3.6/100</f>
        <v>0.036</v>
      </c>
      <c r="C12" s="6">
        <f>B12*90</f>
        <v>3.24</v>
      </c>
      <c r="D12" s="6">
        <f>(pi()*$B$4*$B$4)/4*(1-(cos(radians(C12))/cos(radians(0))))</f>
        <v>4.22323156364618</v>
      </c>
      <c r="E12" s="6">
        <f>degrees(acos((-4*D12*cos(radians(0)))/(pi()*$E$4*$E$4)+cos(radians(0))))</f>
        <v>2.89099840373566</v>
      </c>
      <c r="F12" s="5">
        <f>E12/90</f>
        <v>0.0321222044859518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>
      <c r="A13" s="2">
        <v>7</v>
      </c>
      <c r="B13" s="5">
        <f>4.7/100</f>
        <v>0.047</v>
      </c>
      <c r="C13" s="6">
        <f>B13*90</f>
        <v>4.23</v>
      </c>
      <c r="D13" s="6">
        <f>(pi()*$B$4*$B$4)/4*(1-(cos(radians(C13))/cos(radians(0))))</f>
        <v>7.19704261154843</v>
      </c>
      <c r="E13" s="6">
        <f>degrees(acos((-4*D13*cos(radians(0)))/(pi()*$E$4*$E$4)+cos(radians(0))))</f>
        <v>3.77428678002748</v>
      </c>
      <c r="F13" s="5">
        <f>E13/90</f>
        <v>0.0419365197780831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>
      <c r="A14" s="2">
        <v>8</v>
      </c>
      <c r="B14" s="5">
        <f>6.5/100</f>
        <v>0.065</v>
      </c>
      <c r="C14" s="6">
        <f>B14*90</f>
        <v>5.85</v>
      </c>
      <c r="D14" s="6">
        <f>(pi()*$B$4*$B$4)/4*(1-(cos(radians(C14))/cos(radians(0))))</f>
        <v>13.7595750823119</v>
      </c>
      <c r="E14" s="6">
        <f>degrees(acos((-4*D14*cos(radians(0)))/(pi()*$E$4*$E$4)+cos(radians(0))))</f>
        <v>5.21953756443694</v>
      </c>
      <c r="F14" s="5">
        <f>E14/90</f>
        <v>0.0579948618270771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>
      <c r="A15" s="2">
        <v>9</v>
      </c>
      <c r="B15" s="5">
        <f>8.6/100</f>
        <v>0.086</v>
      </c>
      <c r="C15" s="6">
        <f>B15*90</f>
        <v>7.74</v>
      </c>
      <c r="D15" s="6">
        <f>(pi()*$B$4*$B$4)/4*(1-(cos(radians(C15))/cos(radians(0))))</f>
        <v>24.0708806341917</v>
      </c>
      <c r="E15" s="6">
        <f>degrees(acos((-4*D15*cos(radians(0)))/(pi()*$E$4*$E$4)+cos(radians(0))))</f>
        <v>6.90538984979617</v>
      </c>
      <c r="F15" s="5">
        <f>E15/90</f>
        <v>0.0767265538866241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>
      <c r="A16" s="2">
        <v>10</v>
      </c>
      <c r="B16" s="5">
        <f>10.9/100</f>
        <v>0.109</v>
      </c>
      <c r="C16" s="6">
        <f>B16*90</f>
        <v>9.81</v>
      </c>
      <c r="D16" s="6">
        <f>(pi()*$B$4*$B$4)/4*(1-(cos(radians(C16))/cos(radians(0))))</f>
        <v>38.6320194700765</v>
      </c>
      <c r="E16" s="6">
        <f>degrees(acos((-4*D16*cos(radians(0)))/(pi()*$E$4*$E$4)+cos(radians(0))))</f>
        <v>8.75135460682147</v>
      </c>
      <c r="F16" s="5">
        <f>E16/90</f>
        <v>0.0972372734091274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>
      <c r="A17" s="2">
        <v>11</v>
      </c>
      <c r="B17" s="5">
        <f>13.5/100</f>
        <v>0.135</v>
      </c>
      <c r="C17" s="6">
        <f>B17*90</f>
        <v>12.15</v>
      </c>
      <c r="D17" s="6">
        <f>(pi()*$B$4*$B$4)/4*(1-(cos(radians(C17))/cos(radians(0))))</f>
        <v>59.1827434757517</v>
      </c>
      <c r="E17" s="6">
        <f>degrees(acos((-4*D17*cos(radians(0)))/(pi()*$E$4*$E$4)+cos(radians(0))))</f>
        <v>10.8373844211264</v>
      </c>
      <c r="F17" s="5">
        <f>E17/90</f>
        <v>0.12041538245696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>
      <c r="A18" s="2">
        <v>12</v>
      </c>
      <c r="B18" s="5">
        <f>16.6/100</f>
        <v>0.166</v>
      </c>
      <c r="C18" s="6">
        <f>B18*90</f>
        <v>14.94</v>
      </c>
      <c r="D18" s="6">
        <f>(pi()*$B$4*$B$4)/4*(1-(cos(radians(C18))/cos(radians(0))))</f>
        <v>89.311977497498</v>
      </c>
      <c r="E18" s="6">
        <f>degrees(acos((-4*D18*cos(radians(0)))/(pi()*$E$4*$E$4)+cos(radians(0))))</f>
        <v>13.3233400222407</v>
      </c>
      <c r="F18" s="5">
        <f>E18/90</f>
        <v>0.14803711135823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>
      <c r="A19" s="2">
        <v>13</v>
      </c>
      <c r="B19" s="5">
        <f>19.9/100</f>
        <v>0.199</v>
      </c>
      <c r="C19" s="6">
        <f>B19*90</f>
        <v>17.91</v>
      </c>
      <c r="D19" s="6">
        <f>(pi()*$B$4*$B$4)/4*(1-(cos(radians(C19))/cos(radians(0))))</f>
        <v>128.033199007396</v>
      </c>
      <c r="E19" s="6">
        <f>degrees(acos((-4*D19*cos(radians(0)))/(pi()*$E$4*$E$4)+cos(radians(0))))</f>
        <v>15.9678709088636</v>
      </c>
      <c r="F19" s="5">
        <f>E19/90</f>
        <v>0.177420787876262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>
      <c r="A20" s="2">
        <v>14</v>
      </c>
      <c r="B20" s="5">
        <f>23.5/100</f>
        <v>0.235</v>
      </c>
      <c r="C20" s="6">
        <f>B20*90</f>
        <v>21.15</v>
      </c>
      <c r="D20" s="6">
        <f>(pi()*$B$4*$B$4)/4*(1-(cos(radians(C20))/cos(radians(0))))</f>
        <v>177.973050777154</v>
      </c>
      <c r="E20" s="6">
        <f>degrees(acos((-4*D20*cos(radians(0)))/(pi()*$E$4*$E$4)+cos(radians(0))))</f>
        <v>18.8502405518724</v>
      </c>
      <c r="F20" s="5">
        <f>E20/90</f>
        <v>0.209447117243026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>
      <c r="A21" s="2">
        <v>15</v>
      </c>
      <c r="B21" s="5">
        <f>27.2/100</f>
        <v>0.272</v>
      </c>
      <c r="C21" s="6">
        <f>B21*90</f>
        <v>24.48</v>
      </c>
      <c r="D21" s="6">
        <f>(pi()*$B$4*$B$4)/4*(1-(cos(radians(C21))/cos(radians(0))))</f>
        <v>237.507164984084</v>
      </c>
      <c r="E21" s="6">
        <f>degrees(acos((-4*D21*cos(radians(0)))/(pi()*$E$4*$E$4)+cos(radians(0))))</f>
        <v>21.809351233257</v>
      </c>
      <c r="F21" s="5">
        <f>E21/90</f>
        <v>0.242326124813967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>
      <c r="A22" s="2">
        <v>16</v>
      </c>
      <c r="B22" s="5">
        <f>31.2/100</f>
        <v>0.312</v>
      </c>
      <c r="C22" s="6">
        <f>B22*90</f>
        <v>28.08</v>
      </c>
      <c r="D22" s="6">
        <f>(pi()*$B$4*$B$4)/4*(1-(cos(radians(C22))/cos(radians(0))))</f>
        <v>310.995928386108</v>
      </c>
      <c r="E22" s="6">
        <f>degrees(acos((-4*D22*cos(radians(0)))/(pi()*$E$4*$E$4)+cos(radians(0))))</f>
        <v>25.0039374182627</v>
      </c>
      <c r="F22" s="5">
        <f>E22/90</f>
        <v>0.277821526869586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>
      <c r="A23" s="2">
        <v>17</v>
      </c>
      <c r="B23" s="5">
        <f>35.1/100</f>
        <v>0.351</v>
      </c>
      <c r="C23" s="6">
        <f>B23*90</f>
        <v>31.59</v>
      </c>
      <c r="D23" s="6">
        <f>(pi()*$B$4*$B$4)/4*(1-(cos(radians(C23))/cos(radians(0))))</f>
        <v>391.507624821884</v>
      </c>
      <c r="E23" s="6">
        <f>degrees(acos((-4*D23*cos(radians(0)))/(pi()*$E$4*$E$4)+cos(radians(0))))</f>
        <v>28.1135001963337</v>
      </c>
      <c r="F23" s="5">
        <f>E23/90</f>
        <v>0.312372224403708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>
      <c r="A24" s="2">
        <v>18</v>
      </c>
      <c r="B24" s="5">
        <f>39/100</f>
        <v>0.39</v>
      </c>
      <c r="C24" s="6">
        <f>B24*90</f>
        <v>35.1</v>
      </c>
      <c r="D24" s="6">
        <f>(pi()*$B$4*$B$4)/4*(1-(cos(radians(C24))/cos(radians(0))))</f>
        <v>480.462889416041</v>
      </c>
      <c r="E24" s="6">
        <f>degrees(acos((-4*D24*cos(radians(0)))/(pi()*$E$4*$E$4)+cos(radians(0))))</f>
        <v>31.2172302822247</v>
      </c>
      <c r="F24" s="5">
        <f>E24/90</f>
        <v>0.346858114246941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>
      <c r="A25" s="2">
        <v>19</v>
      </c>
      <c r="B25" s="5">
        <f>43/100</f>
        <v>0.43</v>
      </c>
      <c r="C25" s="6">
        <f>B25*90</f>
        <v>38.7</v>
      </c>
      <c r="D25" s="6">
        <f>(pi()*$B$4*$B$4)/4*(1-(cos(radians(C25))/cos(radians(0))))</f>
        <v>580.120302395647</v>
      </c>
      <c r="E25" s="6">
        <f>degrees(acos((-4*D25*cos(radians(0)))/(pi()*$E$4*$E$4)+cos(radians(0))))</f>
        <v>34.3936779526603</v>
      </c>
      <c r="F25" s="5">
        <f>E25/90</f>
        <v>0.382151977251781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>
      <c r="A26" s="2">
        <v>20</v>
      </c>
      <c r="B26" s="5">
        <f>47.1/100</f>
        <v>0.471</v>
      </c>
      <c r="C26" s="6">
        <f>B26*90</f>
        <v>42.39</v>
      </c>
      <c r="D26" s="6">
        <f>(pi()*$B$4*$B$4)/4*(1-(cos(radians(C26))/cos(radians(0))))</f>
        <v>690.71085113878</v>
      </c>
      <c r="E26" s="6">
        <f>degrees(acos((-4*D26*cos(radians(0)))/(pi()*$E$4*$E$4)+cos(radians(0))))</f>
        <v>37.6414124782601</v>
      </c>
      <c r="F26" s="5">
        <f>E26/90</f>
        <v>0.418237916425112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>
      <c r="A27" s="2">
        <v>21</v>
      </c>
      <c r="B27" s="5">
        <f>51.4/100</f>
        <v>0.514</v>
      </c>
      <c r="C27" s="6">
        <f>B27*90</f>
        <v>46.26</v>
      </c>
      <c r="D27" s="6">
        <f>(pi()*$B$4*$B$4)/4*(1-(cos(radians(C27))/cos(radians(0))))</f>
        <v>815.38013858235</v>
      </c>
      <c r="E27" s="6">
        <f>degrees(acos((-4*D27*cos(radians(0)))/(pi()*$E$4*$E$4)+cos(radians(0))))</f>
        <v>41.0376519973694</v>
      </c>
      <c r="F27" s="5">
        <f>E27/90</f>
        <v>0.455973911081882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>
      <c r="A28" s="2">
        <v>22</v>
      </c>
      <c r="B28" s="5">
        <f>55.8/100</f>
        <v>0.558</v>
      </c>
      <c r="C28" s="6">
        <f>B28*90</f>
        <v>50.22</v>
      </c>
      <c r="D28" s="6">
        <f>(pi()*$B$4*$B$4)/4*(1-(cos(radians(C28))/cos(radians(0))))</f>
        <v>951.567417001838</v>
      </c>
      <c r="E28" s="6">
        <f>degrees(acos((-4*D28*cos(radians(0)))/(pi()*$E$4*$E$4)+cos(radians(0))))</f>
        <v>44.5010914532486</v>
      </c>
      <c r="F28" s="5">
        <f>E28/90</f>
        <v>0.494456571702762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>
      <c r="A29" s="2">
        <v>23</v>
      </c>
      <c r="B29" s="5">
        <f>60/100</f>
        <v>0.6</v>
      </c>
      <c r="C29" s="6">
        <f>B29*90</f>
        <v>54</v>
      </c>
      <c r="D29" s="6">
        <f>(pi()*$B$4*$B$4)/4*(1-(cos(radians(C29))/cos(radians(0))))</f>
        <v>1089.10410222654</v>
      </c>
      <c r="E29" s="6">
        <f>degrees(acos((-4*D29*cos(radians(0)))/(pi()*$E$4*$E$4)+cos(radians(0))))</f>
        <v>47.7946892425384</v>
      </c>
      <c r="F29" s="5">
        <f>E29/90</f>
        <v>0.531052102694871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>
      <c r="A30" s="2">
        <v>24</v>
      </c>
      <c r="B30" s="5">
        <f>64.2/100</f>
        <v>0.642</v>
      </c>
      <c r="C30" s="6">
        <f>B30*90</f>
        <v>57.78</v>
      </c>
      <c r="D30" s="6">
        <f>(pi()*$B$4*$B$4)/4*(1-(cos(radians(C30))/cos(radians(0))))</f>
        <v>1233.39765430137</v>
      </c>
      <c r="E30" s="6">
        <f>degrees(acos((-4*D30*cos(radians(0)))/(pi()*$E$4*$E$4)+cos(radians(0))))</f>
        <v>51.0748087449298</v>
      </c>
      <c r="F30" s="5">
        <f>E30/90</f>
        <v>0.567497874943664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>
      <c r="A31" s="2">
        <v>25</v>
      </c>
      <c r="B31" s="5">
        <f>68.4/100</f>
        <v>0.684</v>
      </c>
      <c r="C31" s="6">
        <f>B31*90</f>
        <v>61.56</v>
      </c>
      <c r="D31" s="6">
        <f>(pi()*$B$4*$B$4)/4*(1-(cos(radians(C31))/cos(radians(0))))</f>
        <v>1383.82026394534</v>
      </c>
      <c r="E31" s="6">
        <f>degrees(acos((-4*D31*cos(radians(0)))/(pi()*$E$4*$E$4)+cos(radians(0))))</f>
        <v>54.3400062326804</v>
      </c>
      <c r="F31" s="5">
        <f>E31/90</f>
        <v>0.603777847029782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>
      <c r="A32" s="2">
        <v>26</v>
      </c>
      <c r="B32" s="5">
        <f>73/100</f>
        <v>0.73</v>
      </c>
      <c r="C32" s="6">
        <f>B32*90</f>
        <v>65.7</v>
      </c>
      <c r="D32" s="6">
        <f>(pi()*$B$4*$B$4)/4*(1-(cos(radians(C32))/cos(radians(0))))</f>
        <v>1554.82580307713</v>
      </c>
      <c r="E32" s="6">
        <f>degrees(acos((-4*D32*cos(radians(0)))/(pi()*$E$4*$E$4)+cos(radians(0))))</f>
        <v>57.8971936088085</v>
      </c>
      <c r="F32" s="5">
        <f>E32/90</f>
        <v>0.643302151208983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>
      <c r="A33" s="2">
        <v>27</v>
      </c>
      <c r="B33" s="5">
        <f>77.5/100</f>
        <v>0.775</v>
      </c>
      <c r="C33" s="6">
        <f>B33*90</f>
        <v>69.75</v>
      </c>
      <c r="D33" s="6">
        <f>(pi()*$B$4*$B$4)/4*(1-(cos(radians(C33))/cos(radians(0))))</f>
        <v>1727.61066767593</v>
      </c>
      <c r="E33" s="6">
        <f>degrees(acos((-4*D33*cos(radians(0)))/(pi()*$E$4*$E$4)+cos(radians(0))))</f>
        <v>61.3557434583248</v>
      </c>
      <c r="F33" s="5">
        <f>E33/90</f>
        <v>0.681730482870276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>
      <c r="A34" s="2">
        <v>28</v>
      </c>
      <c r="B34" s="5">
        <f>81.9/100</f>
        <v>0.819</v>
      </c>
      <c r="C34" s="6">
        <f>B34*90</f>
        <v>73.71</v>
      </c>
      <c r="D34" s="6">
        <f>(pi()*$B$4*$B$4)/4*(1-(cos(radians(C34))/cos(radians(0))))</f>
        <v>1900.97829184433</v>
      </c>
      <c r="E34" s="6">
        <f>degrees(acos((-4*D34*cos(radians(0)))/(pi()*$E$4*$E$4)+cos(radians(0))))</f>
        <v>64.7148145929843</v>
      </c>
      <c r="F34" s="5">
        <f>E34/90</f>
        <v>0.719053495477604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>
      <c r="A35" s="2">
        <v>29</v>
      </c>
      <c r="B35" s="5">
        <f>86.2/100</f>
        <v>0.862</v>
      </c>
      <c r="C35" s="6">
        <f>B35*90</f>
        <v>77.58</v>
      </c>
      <c r="D35" s="6">
        <f>(pi()*$B$4*$B$4)/4*(1-(cos(radians(C35))/cos(radians(0))))</f>
        <v>2073.83092175609</v>
      </c>
      <c r="E35" s="6">
        <f>degrees(acos((-4*D35*cos(radians(0)))/(pi()*$E$4*$E$4)+cos(radians(0))))</f>
        <v>67.9736177581325</v>
      </c>
      <c r="F35" s="5">
        <f>E35/90</f>
        <v>0.755262419534805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>
      <c r="A36" s="2">
        <v>30</v>
      </c>
      <c r="B36" s="5">
        <f>90.5/100</f>
        <v>0.905</v>
      </c>
      <c r="C36" s="6">
        <f>B36*90</f>
        <v>81.45</v>
      </c>
      <c r="D36" s="6">
        <f>(pi()*$B$4*$B$4)/4*(1-(cos(radians(C36))/cos(radians(0))))</f>
        <v>2249.27504350051</v>
      </c>
      <c r="E36" s="6">
        <f>degrees(acos((-4*D36*cos(radians(0)))/(pi()*$E$4*$E$4)+cos(radians(0))))</f>
        <v>71.2062814959467</v>
      </c>
      <c r="F36" s="5">
        <f>E36/90</f>
        <v>0.791180905510519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>
      <c r="A37" s="2">
        <v>31</v>
      </c>
      <c r="B37" s="5">
        <f>95.3/100</f>
        <v>0.953</v>
      </c>
      <c r="C37" s="6">
        <f>B37*90</f>
        <v>85.77</v>
      </c>
      <c r="D37" s="6">
        <f>(pi()*$B$4*$B$4)/4*(1-(cos(radians(C37))/cos(radians(0))))</f>
        <v>2447.19864031964</v>
      </c>
      <c r="E37" s="6">
        <f>degrees(acos((-4*D37*cos(radians(0)))/(pi()*$E$4*$E$4)+cos(radians(0))))</f>
        <v>74.7805973586477</v>
      </c>
      <c r="F37" s="5">
        <f>E37/90</f>
        <v>0.830895526207197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>
      <c r="A38" s="2">
        <v>32</v>
      </c>
      <c r="B38" s="5">
        <f>100/100</f>
        <v>1</v>
      </c>
      <c r="C38" s="6">
        <f>B38*90</f>
        <v>90</v>
      </c>
      <c r="D38" s="6">
        <f>(pi()*$B$4*$B$4)/4*(1-(cos(radians(C38))/cos(radians(0))))</f>
        <v>2642.07942166902</v>
      </c>
      <c r="E38" s="6">
        <f>degrees(acos((-4*D38*cos(radians(0)))/(pi()*$E$4*$E$4)+cos(radians(0))))</f>
        <v>78.2415006419996</v>
      </c>
      <c r="F38" s="5">
        <f>E38/90</f>
        <v>0.869350007133328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>
    <mergeCell ref="B4:D4"/>
    <mergeCell ref="E4:F4"/>
    <mergeCell ref="B3:D3"/>
    <mergeCell ref="E3:F3"/>
    <mergeCell ref="A1:F1"/>
  </mergeCells>
  <printOptions/>
  <pageMargins left="1" right="1" top="1.667" bottom="1.667" header="1" footer="1"/>
  <pageSetup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2.75"/>
  <sheetData>
    <row r="1" spans="1:1">
      <c r="A1" s="7"/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2.75"/>
  <sheetData>
    <row r="1" spans="1:1">
      <c r="A1" s="8"/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1.1017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2014-05-14T14:37:52Z</dcterms:modified>
  <dcterms:created xsi:type="dcterms:W3CDTF">2014-05-13T16:21:00Z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